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1"/>
  </bookViews>
  <sheets>
    <sheet name="Rainbow FL2(PE)" sheetId="1" r:id="rId1"/>
    <sheet name="Rainbow FL1(FITC)" sheetId="2" r:id="rId2"/>
    <sheet name="CD38" sheetId="3" r:id="rId3"/>
    <sheet name="Healthy Controls" sheetId="4" r:id="rId4"/>
  </sheets>
  <definedNames>
    <definedName name="_xlnm.Print_Area" localSheetId="2">'CD38'!$A$1:$H$49</definedName>
    <definedName name="_xlnm.Print_Area" localSheetId="1">'Rainbow FL1(FITC)'!$A$1:$H$26</definedName>
    <definedName name="_xlnm.Print_Area" localSheetId="0">'Rainbow FL2(PE)'!$A$1:$G$41</definedName>
  </definedNames>
  <calcPr fullCalcOnLoad="1"/>
</workbook>
</file>

<file path=xl/sharedStrings.xml><?xml version="1.0" encoding="utf-8"?>
<sst xmlns="http://schemas.openxmlformats.org/spreadsheetml/2006/main" count="102" uniqueCount="60">
  <si>
    <t>Machine</t>
  </si>
  <si>
    <t>FACSCalibur  UCLA</t>
  </si>
  <si>
    <t>Mean RFI for FL2 (PE)</t>
  </si>
  <si>
    <t>Lot #:</t>
  </si>
  <si>
    <t>2- points</t>
  </si>
  <si>
    <t>Bead #</t>
  </si>
  <si>
    <t>ME-PE</t>
  </si>
  <si>
    <t>Mean RFI</t>
  </si>
  <si>
    <t>Channel #</t>
  </si>
  <si>
    <t>Channels per</t>
  </si>
  <si>
    <t>Blank 1</t>
  </si>
  <si>
    <t>Decade</t>
  </si>
  <si>
    <t># Decades</t>
  </si>
  <si>
    <t>% Residual</t>
  </si>
  <si>
    <t>Bead 2</t>
  </si>
  <si>
    <t>Bead 3</t>
  </si>
  <si>
    <t>Bead 4</t>
  </si>
  <si>
    <t>Bead 5</t>
  </si>
  <si>
    <t>Bead 6</t>
  </si>
  <si>
    <t>Bead 7</t>
  </si>
  <si>
    <t>Bead 8</t>
  </si>
  <si>
    <t>Slope</t>
  </si>
  <si>
    <t>regression</t>
  </si>
  <si>
    <t>Intercept</t>
  </si>
  <si>
    <t>R-Squared</t>
  </si>
  <si>
    <t>AvgResidual %</t>
  </si>
  <si>
    <t>Log Decades</t>
  </si>
  <si>
    <t>Coeff of Response</t>
  </si>
  <si>
    <t>Blank Threshold</t>
  </si>
  <si>
    <t>Zero Channel Value</t>
  </si>
  <si>
    <t>Machine:</t>
  </si>
  <si>
    <t>FACSCalibur UCLA</t>
  </si>
  <si>
    <t>Mean RFI for FL1 (FITC)</t>
  </si>
  <si>
    <t>ME-FITC</t>
  </si>
  <si>
    <t>Blank  Threshold</t>
  </si>
  <si>
    <t>Scan2 UCLA</t>
  </si>
  <si>
    <t>Patient Data Median PE-CD38</t>
  </si>
  <si>
    <t>1=HIV infected</t>
  </si>
  <si>
    <t>Uncorrected</t>
  </si>
  <si>
    <t>Corrected</t>
  </si>
  <si>
    <t>0= seronegative</t>
  </si>
  <si>
    <t xml:space="preserve"> Median RFI</t>
  </si>
  <si>
    <t># PE/RFI</t>
  </si>
  <si>
    <t># Molecules</t>
  </si>
  <si>
    <t>DATE</t>
  </si>
  <si>
    <t>P.I.D.</t>
  </si>
  <si>
    <t>Serostatus</t>
  </si>
  <si>
    <t>IgG1</t>
  </si>
  <si>
    <t>CD38</t>
  </si>
  <si>
    <t>RFI multiplier</t>
  </si>
  <si>
    <t>Healthy Control Median PE-CD4 RFI</t>
  </si>
  <si>
    <t>Uncorrected Median RFI</t>
  </si>
  <si>
    <t>Corrected Median CD4 RFI</t>
  </si>
  <si>
    <t>CD4</t>
  </si>
  <si>
    <t>CD4c</t>
  </si>
  <si>
    <t>Mean</t>
  </si>
  <si>
    <t>s.d.</t>
  </si>
  <si>
    <t>c.v.</t>
  </si>
  <si>
    <t>median</t>
  </si>
  <si>
    <t>Do not add data below this line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</si>
</sst>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43" applyFont="1">
      <alignment/>
      <protection/>
    </xf>
    <xf numFmtId="0" fontId="1" fillId="0" borderId="0" xfId="43" applyFont="1" applyAlignment="1">
      <alignment horizontal="right"/>
      <protection/>
    </xf>
    <xf numFmtId="2" fontId="0" fillId="0" borderId="0" xfId="43" applyNumberFormat="1" applyFont="1">
      <alignment/>
      <protection/>
    </xf>
    <xf numFmtId="166" fontId="0" fillId="0" borderId="0" xfId="43" applyNumberFormat="1" applyFont="1">
      <alignment/>
      <protection/>
    </xf>
    <xf numFmtId="14" fontId="0" fillId="0" borderId="0" xfId="43" applyNumberFormat="1" applyFont="1">
      <alignment/>
      <protection/>
    </xf>
    <xf numFmtId="0" fontId="0" fillId="0" borderId="10" xfId="43" applyFont="1" applyBorder="1">
      <alignment/>
      <protection/>
    </xf>
    <xf numFmtId="0" fontId="0" fillId="0" borderId="0" xfId="43" applyFont="1" applyAlignment="1">
      <alignment horizontal="center"/>
      <protection/>
    </xf>
    <xf numFmtId="0" fontId="1" fillId="0" borderId="0" xfId="43" applyFont="1" applyAlignment="1">
      <alignment horizontal="center"/>
      <protection/>
    </xf>
    <xf numFmtId="1" fontId="0" fillId="0" borderId="0" xfId="43" applyNumberFormat="1" applyFont="1" applyAlignment="1">
      <alignment horizontal="center"/>
      <protection/>
    </xf>
    <xf numFmtId="0" fontId="1" fillId="0" borderId="0" xfId="43" applyFont="1" applyProtection="1">
      <alignment/>
      <protection locked="0"/>
    </xf>
    <xf numFmtId="0" fontId="0" fillId="0" borderId="0" xfId="43" applyFont="1" applyProtection="1">
      <alignment/>
      <protection locked="0"/>
    </xf>
    <xf numFmtId="0" fontId="4" fillId="0" borderId="0" xfId="43" applyFont="1" applyProtection="1">
      <alignment/>
      <protection locked="0"/>
    </xf>
    <xf numFmtId="0" fontId="6" fillId="0" borderId="0" xfId="43" applyFont="1" applyProtection="1">
      <alignment/>
      <protection locked="0"/>
    </xf>
    <xf numFmtId="0" fontId="5" fillId="0" borderId="0" xfId="43" applyFont="1" applyProtection="1">
      <alignment/>
      <protection locked="0"/>
    </xf>
    <xf numFmtId="0" fontId="7" fillId="0" borderId="0" xfId="43" applyFont="1" applyProtection="1">
      <alignment/>
      <protection locked="0"/>
    </xf>
    <xf numFmtId="0" fontId="1" fillId="0" borderId="0" xfId="43" applyFont="1" applyProtection="1">
      <alignment/>
      <protection/>
    </xf>
    <xf numFmtId="0" fontId="0" fillId="0" borderId="0" xfId="43" applyFont="1" applyProtection="1">
      <alignment/>
      <protection/>
    </xf>
    <xf numFmtId="0" fontId="6" fillId="0" borderId="0" xfId="43" applyFont="1" applyProtection="1">
      <alignment/>
      <protection/>
    </xf>
    <xf numFmtId="0" fontId="5" fillId="0" borderId="0" xfId="43" applyFont="1" applyProtection="1">
      <alignment/>
      <protection/>
    </xf>
    <xf numFmtId="0" fontId="7" fillId="0" borderId="0" xfId="43" applyFont="1" applyProtection="1">
      <alignment/>
      <protection/>
    </xf>
    <xf numFmtId="0" fontId="6" fillId="0" borderId="0" xfId="43" applyFont="1" applyAlignment="1" applyProtection="1">
      <alignment horizontal="centerContinuous"/>
      <protection/>
    </xf>
    <xf numFmtId="0" fontId="5" fillId="0" borderId="0" xfId="43" applyFont="1" applyAlignment="1" applyProtection="1">
      <alignment horizontal="centerContinuous"/>
      <protection/>
    </xf>
    <xf numFmtId="0" fontId="6" fillId="0" borderId="0" xfId="43" applyFont="1" applyAlignment="1" applyProtection="1">
      <alignment horizontal="center"/>
      <protection/>
    </xf>
    <xf numFmtId="2" fontId="5" fillId="0" borderId="0" xfId="43" applyNumberFormat="1" applyFont="1" applyProtection="1">
      <alignment/>
      <protection/>
    </xf>
    <xf numFmtId="2" fontId="5" fillId="0" borderId="0" xfId="43" applyNumberFormat="1" applyFont="1" applyAlignment="1" applyProtection="1">
      <alignment horizontal="center"/>
      <protection/>
    </xf>
    <xf numFmtId="167" fontId="5" fillId="0" borderId="0" xfId="43" applyNumberFormat="1" applyFont="1" applyAlignment="1" applyProtection="1">
      <alignment horizontal="center"/>
      <protection/>
    </xf>
    <xf numFmtId="165" fontId="6" fillId="0" borderId="0" xfId="43" applyNumberFormat="1" applyFont="1" applyProtection="1">
      <alignment/>
      <protection/>
    </xf>
    <xf numFmtId="2" fontId="6" fillId="0" borderId="0" xfId="43" applyNumberFormat="1" applyFont="1" applyProtection="1">
      <alignment/>
      <protection/>
    </xf>
    <xf numFmtId="0" fontId="0" fillId="0" borderId="0" xfId="43" applyFont="1" applyFill="1" applyBorder="1" applyAlignment="1" applyProtection="1">
      <alignment/>
      <protection/>
    </xf>
    <xf numFmtId="0" fontId="0" fillId="0" borderId="0" xfId="43" applyFont="1" applyFill="1" applyBorder="1" applyAlignment="1" applyProtection="1">
      <alignment/>
      <protection/>
    </xf>
    <xf numFmtId="4" fontId="0" fillId="0" borderId="0" xfId="43" applyNumberFormat="1" applyFont="1" applyProtection="1">
      <alignment/>
      <protection/>
    </xf>
    <xf numFmtId="0" fontId="1" fillId="0" borderId="0" xfId="43" applyFont="1" applyAlignment="1" applyProtection="1">
      <alignment horizontal="right"/>
      <protection/>
    </xf>
    <xf numFmtId="3" fontId="1" fillId="0" borderId="0" xfId="43" applyNumberFormat="1" applyFont="1" applyProtection="1">
      <alignment/>
      <protection/>
    </xf>
    <xf numFmtId="3" fontId="0" fillId="0" borderId="0" xfId="43" applyNumberFormat="1" applyFont="1" applyProtection="1">
      <alignment/>
      <protection/>
    </xf>
    <xf numFmtId="2" fontId="0" fillId="0" borderId="0" xfId="43" applyNumberFormat="1" applyFont="1" applyAlignment="1">
      <alignment horizontal="center"/>
      <protection/>
    </xf>
    <xf numFmtId="14" fontId="0" fillId="0" borderId="0" xfId="43" applyNumberFormat="1" applyFont="1" applyProtection="1">
      <alignment/>
      <protection locked="0"/>
    </xf>
    <xf numFmtId="2" fontId="0" fillId="0" borderId="0" xfId="43" applyNumberFormat="1" applyFont="1" applyAlignment="1" applyProtection="1">
      <alignment horizontal="center"/>
      <protection locked="0"/>
    </xf>
    <xf numFmtId="0" fontId="4" fillId="0" borderId="0" xfId="43" applyFont="1" applyProtection="1">
      <alignment/>
      <protection locked="0"/>
    </xf>
    <xf numFmtId="167" fontId="1" fillId="0" borderId="0" xfId="43" applyNumberFormat="1" applyFont="1">
      <alignment/>
      <protection/>
    </xf>
    <xf numFmtId="2" fontId="0" fillId="0" borderId="0" xfId="43" applyNumberFormat="1" applyFont="1" applyAlignment="1">
      <alignment horizontal="right"/>
      <protection/>
    </xf>
    <xf numFmtId="167" fontId="0" fillId="0" borderId="0" xfId="43" applyNumberFormat="1" applyFont="1" applyAlignment="1">
      <alignment horizontal="center"/>
      <protection/>
    </xf>
    <xf numFmtId="14" fontId="0" fillId="0" borderId="0" xfId="43" applyNumberFormat="1" applyFont="1" applyAlignment="1" applyProtection="1">
      <alignment horizontal="center"/>
      <protection locked="0"/>
    </xf>
    <xf numFmtId="0" fontId="0" fillId="0" borderId="0" xfId="43" applyFont="1" applyAlignment="1" applyProtection="1">
      <alignment horizontal="center"/>
      <protection locked="0"/>
    </xf>
    <xf numFmtId="2" fontId="0" fillId="0" borderId="0" xfId="43" applyNumberFormat="1" applyFont="1" applyAlignment="1" applyProtection="1">
      <alignment horizontal="right"/>
      <protection locked="0"/>
    </xf>
    <xf numFmtId="0" fontId="0" fillId="0" borderId="0" xfId="43" applyFont="1" applyAlignment="1" applyProtection="1">
      <alignment horizontal="left"/>
      <protection locked="0"/>
    </xf>
    <xf numFmtId="0" fontId="1" fillId="0" borderId="0" xfId="43" applyFont="1" applyProtection="1">
      <alignment/>
      <protection locked="0"/>
    </xf>
    <xf numFmtId="0" fontId="4" fillId="0" borderId="0" xfId="43" applyFont="1" applyAlignment="1" applyProtection="1">
      <alignment horizontal="centerContinuous"/>
      <protection locked="0"/>
    </xf>
    <xf numFmtId="0" fontId="1" fillId="0" borderId="0" xfId="43" applyFont="1" applyAlignment="1">
      <alignment horizontal="centerContinuous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0145"/>
          <c:w val="0.85325"/>
          <c:h val="0.96675"/>
        </c:manualLayout>
      </c:layout>
      <c:scatterChart>
        <c:scatterStyle val="lineMarker"/>
        <c:varyColors val="0"/>
        <c:ser>
          <c:idx val="0"/>
          <c:order val="0"/>
          <c:tx>
            <c:v>Regression line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'Rainbow FL2(PE)'!$E$14:$E$21</c:f>
              <c:numCache/>
            </c:numRef>
          </c:xVal>
          <c:yVal>
            <c:numRef>
              <c:f>'Rainbow FL2(PE)'!$F$14:$F$21</c:f>
              <c:numCache/>
            </c:numRef>
          </c:yVal>
          <c:smooth val="0"/>
        </c:ser>
        <c:ser>
          <c:idx val="1"/>
          <c:order val="1"/>
          <c:tx>
            <c:v>Bead Values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'Rainbow FL2(PE)'!$G$14:$G$21</c:f>
              <c:numCache/>
            </c:numRef>
          </c:xVal>
          <c:yVal>
            <c:numRef>
              <c:f>'Rainbow FL2(PE)'!$F$14:$F$21</c:f>
              <c:numCache/>
            </c:numRef>
          </c:yVal>
          <c:smooth val="0"/>
        </c:ser>
        <c:ser>
          <c:idx val="3"/>
          <c:order val="2"/>
          <c:tx>
            <c:v>New Regression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'Rainbow FL2(PE)'!$H$32:$H$36</c:f>
              <c:numCache/>
            </c:numRef>
          </c:xVal>
          <c:yVal>
            <c:numRef>
              <c:f>'Rainbow FL2(PE)'!$F$13:$F$17</c:f>
              <c:numCache/>
            </c:numRef>
          </c:yVal>
          <c:smooth val="0"/>
        </c:ser>
        <c:ser>
          <c:idx val="4"/>
          <c:order val="3"/>
          <c:tx>
            <c:v>New CD4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'Rainbow FL2(PE)'!$H$42</c:f>
              <c:numCache/>
            </c:numRef>
          </c:xVal>
          <c:yVal>
            <c:numRef>
              <c:f>'Rainbow FL2(PE)'!$C$42</c:f>
              <c:numCache/>
            </c:numRef>
          </c:yVal>
          <c:smooth val="0"/>
        </c:ser>
        <c:axId val="4309199"/>
        <c:axId val="38782792"/>
      </c:scatterChart>
      <c:valAx>
        <c:axId val="430919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ME-PE</a:t>
                </a:r>
              </a:p>
            </c:rich>
          </c:tx>
          <c:layout>
            <c:manualLayout>
              <c:xMode val="factor"/>
              <c:yMode val="factor"/>
              <c:x val="0.0232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82792"/>
        <c:crosses val="autoZero"/>
        <c:crossBetween val="midCat"/>
        <c:dispUnits/>
      </c:valAx>
      <c:valAx>
        <c:axId val="38782792"/>
        <c:scaling>
          <c:orientation val="minMax"/>
          <c:max val="10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Channel (1024 scale)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09199"/>
        <c:crosses val="autoZero"/>
        <c:crossBetween val="midCat"/>
        <c:dispUnits/>
        <c:majorUnit val="256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.01325"/>
          <c:w val="0.853"/>
          <c:h val="0.89375"/>
        </c:manualLayout>
      </c:layout>
      <c:scatterChart>
        <c:scatterStyle val="lineMarker"/>
        <c:varyColors val="0"/>
        <c:ser>
          <c:idx val="0"/>
          <c:order val="0"/>
          <c:tx>
            <c:v>Regression line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'Rainbow FL1(FITC)'!$E$14:$E$21</c:f>
              <c:numCache/>
            </c:numRef>
          </c:xVal>
          <c:yVal>
            <c:numRef>
              <c:f>'Rainbow FL1(FITC)'!$F$14:$F$21</c:f>
              <c:numCache/>
            </c:numRef>
          </c:yVal>
          <c:smooth val="0"/>
        </c:ser>
        <c:ser>
          <c:idx val="1"/>
          <c:order val="1"/>
          <c:tx>
            <c:v>Bead Values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'Rainbow FL1(FITC)'!$G$14:$G$21</c:f>
              <c:numCache/>
            </c:numRef>
          </c:xVal>
          <c:yVal>
            <c:numRef>
              <c:f>'Rainbow FL1(FITC)'!$F$14:$F$21</c:f>
              <c:numCache/>
            </c:numRef>
          </c:yVal>
          <c:smooth val="0"/>
        </c:ser>
        <c:ser>
          <c:idx val="3"/>
          <c:order val="2"/>
          <c:tx>
            <c:v>New Regression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'Rainbow FL2(PE)'!$H$32:$H$36</c:f>
              <c:numCache>
                <c:ptCount val="5"/>
              </c:numCache>
            </c:numRef>
          </c:xVal>
          <c:yVal>
            <c:numRef>
              <c:f>'Rainbow FL2(PE)'!$F$13:$F$17</c:f>
              <c:numCache>
                <c:ptCount val="5"/>
                <c:pt idx="1">
                  <c:v>64.73037593085266</c:v>
                </c:pt>
                <c:pt idx="2">
                  <c:v>252.8425638211263</c:v>
                </c:pt>
                <c:pt idx="3">
                  <c:v>358.8026484931702</c:v>
                </c:pt>
                <c:pt idx="4">
                  <c:v>475.36897543700127</c:v>
                </c:pt>
              </c:numCache>
            </c:numRef>
          </c:yVal>
          <c:smooth val="0"/>
        </c:ser>
        <c:ser>
          <c:idx val="4"/>
          <c:order val="3"/>
          <c:tx>
            <c:v>New CD4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'Rainbow FL2(PE)'!$H$42</c:f>
              <c:numCache>
                <c:ptCount val="1"/>
              </c:numCache>
            </c:numRef>
          </c:xVal>
          <c:yVal>
            <c:numRef>
              <c:f>'Rainbow FL2(PE)'!$C$42</c:f>
              <c:numCache>
                <c:ptCount val="1"/>
              </c:numCache>
            </c:numRef>
          </c:yVal>
          <c:smooth val="0"/>
        </c:ser>
        <c:axId val="13500809"/>
        <c:axId val="54398418"/>
      </c:scatterChart>
      <c:valAx>
        <c:axId val="1350080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ME-FITC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398418"/>
        <c:crosses val="autoZero"/>
        <c:crossBetween val="midCat"/>
        <c:dispUnits/>
      </c:valAx>
      <c:valAx>
        <c:axId val="54398418"/>
        <c:scaling>
          <c:orientation val="minMax"/>
          <c:max val="10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Channel (1024 scale)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500809"/>
        <c:crosses val="autoZero"/>
        <c:crossBetween val="midCat"/>
        <c:dispUnits/>
        <c:majorUnit val="256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11</xdr:row>
      <xdr:rowOff>85725</xdr:rowOff>
    </xdr:from>
    <xdr:to>
      <xdr:col>6</xdr:col>
      <xdr:colOff>752475</xdr:colOff>
      <xdr:row>24</xdr:row>
      <xdr:rowOff>85725</xdr:rowOff>
    </xdr:to>
    <xdr:graphicFrame>
      <xdr:nvGraphicFramePr>
        <xdr:cNvPr id="1" name="Chart 3"/>
        <xdr:cNvGraphicFramePr/>
      </xdr:nvGraphicFramePr>
      <xdr:xfrm>
        <a:off x="1914525" y="1943100"/>
        <a:ext cx="30765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11</xdr:row>
      <xdr:rowOff>9525</xdr:rowOff>
    </xdr:from>
    <xdr:to>
      <xdr:col>6</xdr:col>
      <xdr:colOff>600075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1981200" y="1866900"/>
        <a:ext cx="30384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2" width="9.140625" style="17" customWidth="1"/>
    <col min="3" max="3" width="9.8515625" style="17" customWidth="1"/>
    <col min="4" max="4" width="9.57421875" style="17" customWidth="1"/>
    <col min="5" max="5" width="15.140625" style="17" customWidth="1"/>
    <col min="6" max="6" width="10.7109375" style="17" customWidth="1"/>
    <col min="7" max="7" width="11.421875" style="17" customWidth="1"/>
    <col min="8" max="16384" width="9.140625" style="17" customWidth="1"/>
  </cols>
  <sheetData>
    <row r="1" spans="1:6" ht="15.75">
      <c r="A1" s="10" t="s">
        <v>0</v>
      </c>
      <c r="B1" s="11" t="s">
        <v>1</v>
      </c>
      <c r="C1" s="11"/>
      <c r="D1" s="12" t="s">
        <v>2</v>
      </c>
      <c r="E1" s="11"/>
      <c r="F1" s="11"/>
    </row>
    <row r="2" spans="1:6" s="19" customFormat="1" ht="15.75">
      <c r="A2" s="13" t="s">
        <v>3</v>
      </c>
      <c r="B2" s="14"/>
      <c r="D2" s="20"/>
      <c r="E2" s="21" t="s">
        <v>4</v>
      </c>
      <c r="F2" s="22"/>
    </row>
    <row r="3" spans="1:6" s="19" customFormat="1" ht="12.75">
      <c r="A3" s="18" t="s">
        <v>5</v>
      </c>
      <c r="B3" s="23" t="s">
        <v>6</v>
      </c>
      <c r="C3" s="18" t="s">
        <v>7</v>
      </c>
      <c r="D3" s="23" t="s">
        <v>8</v>
      </c>
      <c r="E3" s="23" t="s">
        <v>9</v>
      </c>
      <c r="F3" s="22"/>
    </row>
    <row r="4" spans="1:7" s="19" customFormat="1" ht="12.75">
      <c r="A4" s="19" t="s">
        <v>10</v>
      </c>
      <c r="B4" s="19">
        <v>70</v>
      </c>
      <c r="C4" s="13">
        <v>1.79</v>
      </c>
      <c r="D4" s="24">
        <f>256*LOG(C4)</f>
        <v>64.73037593085266</v>
      </c>
      <c r="E4" s="23" t="s">
        <v>11</v>
      </c>
      <c r="F4" s="18" t="s">
        <v>12</v>
      </c>
      <c r="G4" s="18" t="s">
        <v>13</v>
      </c>
    </row>
    <row r="5" spans="1:7" s="19" customFormat="1" ht="12.75">
      <c r="A5" s="19" t="s">
        <v>14</v>
      </c>
      <c r="B5" s="19">
        <v>400</v>
      </c>
      <c r="C5" s="13">
        <v>9.72</v>
      </c>
      <c r="D5" s="24">
        <f aca="true" t="shared" si="0" ref="D5:D11">256*LOG(C5)</f>
        <v>252.8425638211263</v>
      </c>
      <c r="E5" s="25">
        <f aca="true" t="shared" si="1" ref="E5:E10">SLOPE((D5:D6),LOG(B5:B6))</f>
        <v>222.08208840812264</v>
      </c>
      <c r="F5" s="26">
        <f aca="true" t="shared" si="2" ref="F5:F10">1024/SLOPE((D5:D6),LOG(B5:B6))</f>
        <v>4.610907648338502</v>
      </c>
      <c r="G5" s="24">
        <f>ABS(E15-B5)/B5*100</f>
        <v>8.217092373977223</v>
      </c>
    </row>
    <row r="6" spans="1:7" s="19" customFormat="1" ht="12.75">
      <c r="A6" s="19" t="s">
        <v>15</v>
      </c>
      <c r="B6" s="19">
        <v>1200</v>
      </c>
      <c r="C6" s="13">
        <v>25.21</v>
      </c>
      <c r="D6" s="24">
        <f t="shared" si="0"/>
        <v>358.8026484931702</v>
      </c>
      <c r="E6" s="25">
        <f t="shared" si="1"/>
        <v>232.8521366535658</v>
      </c>
      <c r="F6" s="26">
        <f t="shared" si="2"/>
        <v>4.397640557292773</v>
      </c>
      <c r="G6" s="24">
        <f aca="true" t="shared" si="3" ref="G6:G11">ABS(E16-B6)/B6*100</f>
        <v>1.8131133699463933</v>
      </c>
    </row>
    <row r="7" spans="1:7" s="19" customFormat="1" ht="12.75">
      <c r="A7" s="19" t="s">
        <v>16</v>
      </c>
      <c r="B7" s="19">
        <v>3800</v>
      </c>
      <c r="C7" s="13">
        <v>71.93</v>
      </c>
      <c r="D7" s="24">
        <f t="shared" si="0"/>
        <v>475.36897543700127</v>
      </c>
      <c r="E7" s="25">
        <f t="shared" si="1"/>
        <v>251.82770645551645</v>
      </c>
      <c r="F7" s="26">
        <f t="shared" si="2"/>
        <v>4.066272192257297</v>
      </c>
      <c r="G7" s="24">
        <f t="shared" si="3"/>
        <v>6.704668622791024</v>
      </c>
    </row>
    <row r="8" spans="1:7" s="19" customFormat="1" ht="12.75">
      <c r="A8" s="19" t="s">
        <v>17</v>
      </c>
      <c r="B8" s="19">
        <v>12000</v>
      </c>
      <c r="C8" s="13">
        <v>222.93</v>
      </c>
      <c r="D8" s="24">
        <f t="shared" si="0"/>
        <v>601.1311401024415</v>
      </c>
      <c r="E8" s="25">
        <f t="shared" si="1"/>
        <v>249.16352412721608</v>
      </c>
      <c r="F8" s="26">
        <f t="shared" si="2"/>
        <v>4.109750829648619</v>
      </c>
      <c r="G8" s="24">
        <f t="shared" si="3"/>
        <v>3.03558636514011</v>
      </c>
    </row>
    <row r="9" spans="1:7" s="19" customFormat="1" ht="12.75">
      <c r="A9" s="19" t="s">
        <v>18</v>
      </c>
      <c r="B9" s="19">
        <v>34000</v>
      </c>
      <c r="C9" s="13">
        <v>614.31</v>
      </c>
      <c r="D9" s="24">
        <f t="shared" si="0"/>
        <v>713.8272217619914</v>
      </c>
      <c r="E9" s="25">
        <f t="shared" si="1"/>
        <v>244.2816532899651</v>
      </c>
      <c r="F9" s="26">
        <f t="shared" si="2"/>
        <v>4.1918825511816085</v>
      </c>
      <c r="G9" s="24">
        <f t="shared" si="3"/>
        <v>0.7251343885195264</v>
      </c>
    </row>
    <row r="10" spans="1:7" s="19" customFormat="1" ht="12.75">
      <c r="A10" s="19" t="s">
        <v>19</v>
      </c>
      <c r="B10" s="19">
        <v>124000</v>
      </c>
      <c r="C10" s="13">
        <v>2111.58</v>
      </c>
      <c r="D10" s="24">
        <f t="shared" si="0"/>
        <v>851.0995302126707</v>
      </c>
      <c r="E10" s="25">
        <f t="shared" si="1"/>
        <v>258.74623369658184</v>
      </c>
      <c r="F10" s="26">
        <f t="shared" si="2"/>
        <v>3.957545527796131</v>
      </c>
      <c r="G10" s="24">
        <f t="shared" si="3"/>
        <v>0.3938132959732156</v>
      </c>
    </row>
    <row r="11" spans="1:7" s="19" customFormat="1" ht="12.75">
      <c r="A11" s="19" t="s">
        <v>20</v>
      </c>
      <c r="B11" s="19">
        <v>300000</v>
      </c>
      <c r="C11" s="13">
        <v>5157.31</v>
      </c>
      <c r="D11" s="24">
        <f t="shared" si="0"/>
        <v>950.380348706673</v>
      </c>
      <c r="G11" s="24">
        <f t="shared" si="3"/>
        <v>5.208963182138589</v>
      </c>
    </row>
    <row r="12" s="19" customFormat="1" ht="12.75"/>
    <row r="13" spans="1:5" s="19" customFormat="1" ht="12.75">
      <c r="A13" s="19" t="s">
        <v>21</v>
      </c>
      <c r="C13" s="24">
        <f>SLOPE((D5:D11),LOG(B5:B11))</f>
        <v>243.65424207882313</v>
      </c>
      <c r="E13" s="19" t="s">
        <v>22</v>
      </c>
    </row>
    <row r="14" spans="1:7" s="19" customFormat="1" ht="12.75">
      <c r="A14" s="19" t="s">
        <v>23</v>
      </c>
      <c r="C14" s="24">
        <f>INTERCEPT(D5:D11,LOG(B5:B11))</f>
        <v>-389.51672321129445</v>
      </c>
      <c r="E14" s="19">
        <f aca="true" t="shared" si="4" ref="E14:E21">10^((D4-C$14)/C$13)</f>
        <v>73.16615664603022</v>
      </c>
      <c r="F14" s="19">
        <f aca="true" t="shared" si="5" ref="F14:F21">D4</f>
        <v>64.73037593085266</v>
      </c>
      <c r="G14" s="19">
        <f aca="true" t="shared" si="6" ref="G14:G21">B4</f>
        <v>70</v>
      </c>
    </row>
    <row r="15" spans="1:7" s="19" customFormat="1" ht="12.75">
      <c r="A15" s="19" t="s">
        <v>24</v>
      </c>
      <c r="C15" s="27">
        <f>RSQ((D5:D11),LOG(B5:B11))</f>
        <v>0.9995730608514767</v>
      </c>
      <c r="E15" s="19">
        <f t="shared" si="4"/>
        <v>432.8683694959089</v>
      </c>
      <c r="F15" s="19">
        <f t="shared" si="5"/>
        <v>252.8425638211263</v>
      </c>
      <c r="G15" s="19">
        <f t="shared" si="6"/>
        <v>400</v>
      </c>
    </row>
    <row r="16" spans="1:7" s="19" customFormat="1" ht="12.75">
      <c r="A16" s="19" t="s">
        <v>25</v>
      </c>
      <c r="C16" s="28">
        <f>AVERAGE(G4:G11)</f>
        <v>3.728338799783726</v>
      </c>
      <c r="E16" s="19">
        <f t="shared" si="4"/>
        <v>1178.2426395606433</v>
      </c>
      <c r="F16" s="19">
        <f t="shared" si="5"/>
        <v>358.8026484931702</v>
      </c>
      <c r="G16" s="19">
        <f t="shared" si="6"/>
        <v>1200</v>
      </c>
    </row>
    <row r="17" spans="1:7" s="19" customFormat="1" ht="12.75">
      <c r="A17" s="19" t="s">
        <v>26</v>
      </c>
      <c r="C17" s="28">
        <f>1024/C13</f>
        <v>4.202676675207369</v>
      </c>
      <c r="E17" s="19">
        <f t="shared" si="4"/>
        <v>3545.222592333941</v>
      </c>
      <c r="F17" s="19">
        <f t="shared" si="5"/>
        <v>475.36897543700127</v>
      </c>
      <c r="G17" s="19">
        <f t="shared" si="6"/>
        <v>3800</v>
      </c>
    </row>
    <row r="18" spans="1:7" s="19" customFormat="1" ht="12.75">
      <c r="A18" s="19" t="s">
        <v>27</v>
      </c>
      <c r="C18" s="24">
        <f>C13</f>
        <v>243.65424207882313</v>
      </c>
      <c r="E18" s="19">
        <f t="shared" si="4"/>
        <v>11635.729636183187</v>
      </c>
      <c r="F18" s="19">
        <f t="shared" si="5"/>
        <v>601.1311401024415</v>
      </c>
      <c r="G18" s="19">
        <f t="shared" si="6"/>
        <v>12000</v>
      </c>
    </row>
    <row r="19" spans="1:7" s="19" customFormat="1" ht="12.75">
      <c r="A19" s="19" t="s">
        <v>28</v>
      </c>
      <c r="C19" s="28">
        <f>10^((D4-C14)/C13)</f>
        <v>73.16615664603022</v>
      </c>
      <c r="E19" s="19">
        <f t="shared" si="4"/>
        <v>33753.45430790336</v>
      </c>
      <c r="F19" s="19">
        <f t="shared" si="5"/>
        <v>713.8272217619914</v>
      </c>
      <c r="G19" s="19">
        <f t="shared" si="6"/>
        <v>34000</v>
      </c>
    </row>
    <row r="20" spans="1:7" s="19" customFormat="1" ht="12.75">
      <c r="A20" s="19" t="s">
        <v>29</v>
      </c>
      <c r="C20" s="24">
        <f>10^-(C14/C13)</f>
        <v>39.686733845231124</v>
      </c>
      <c r="E20" s="19">
        <f t="shared" si="4"/>
        <v>123511.67151299321</v>
      </c>
      <c r="F20" s="19">
        <f t="shared" si="5"/>
        <v>851.0995302126707</v>
      </c>
      <c r="G20" s="19">
        <f t="shared" si="6"/>
        <v>124000</v>
      </c>
    </row>
    <row r="21" spans="5:7" s="19" customFormat="1" ht="12.75">
      <c r="E21" s="19">
        <f t="shared" si="4"/>
        <v>315626.88954641577</v>
      </c>
      <c r="F21" s="19">
        <f t="shared" si="5"/>
        <v>950.380348706673</v>
      </c>
      <c r="G21" s="19">
        <f t="shared" si="6"/>
        <v>300000</v>
      </c>
    </row>
    <row r="22" s="19" customFormat="1" ht="12.75"/>
    <row r="23" s="19" customFormat="1" ht="12.75"/>
    <row r="24" s="19" customFormat="1" ht="12.75"/>
    <row r="25" s="19" customFormat="1" ht="12.75"/>
    <row r="26" spans="15:16" ht="12.75">
      <c r="O26" s="29"/>
      <c r="P26" s="30"/>
    </row>
    <row r="27" spans="15:16" ht="12.75">
      <c r="O27" s="29"/>
      <c r="P27" s="30"/>
    </row>
    <row r="28" spans="15:16" ht="12.75">
      <c r="O28" s="29"/>
      <c r="P28" s="30"/>
    </row>
    <row r="29" spans="15:16" ht="12.75">
      <c r="O29" s="29"/>
      <c r="P29" s="30"/>
    </row>
    <row r="30" spans="15:16" ht="12.75">
      <c r="O30" s="29"/>
      <c r="P30" s="30"/>
    </row>
    <row r="31" spans="15:16" ht="12.75">
      <c r="O31" s="29"/>
      <c r="P31" s="30"/>
    </row>
    <row r="32" spans="15:16" ht="12.75">
      <c r="O32" s="29"/>
      <c r="P32" s="30"/>
    </row>
    <row r="33" spans="15:16" ht="12.75">
      <c r="O33" s="29"/>
      <c r="P33" s="30"/>
    </row>
    <row r="34" spans="15:16" ht="12.75">
      <c r="O34" s="29"/>
      <c r="P34" s="30"/>
    </row>
    <row r="35" spans="15:16" ht="12.75">
      <c r="O35" s="29"/>
      <c r="P35" s="30"/>
    </row>
    <row r="36" spans="15:16" ht="12.75">
      <c r="O36" s="29"/>
      <c r="P36" s="30"/>
    </row>
    <row r="37" spans="15:16" ht="12.75">
      <c r="O37" s="29"/>
      <c r="P37" s="30"/>
    </row>
    <row r="38" spans="15:16" ht="12.75">
      <c r="O38" s="29"/>
      <c r="P38" s="30"/>
    </row>
    <row r="39" spans="15:16" ht="12.75">
      <c r="O39" s="29"/>
      <c r="P39" s="30"/>
    </row>
    <row r="40" spans="7:12" ht="12.75">
      <c r="G40" s="31"/>
      <c r="L40" s="31"/>
    </row>
    <row r="41" spans="3:12" ht="12.75">
      <c r="C41" s="16"/>
      <c r="E41" s="31"/>
      <c r="F41" s="31"/>
      <c r="G41" s="31"/>
      <c r="H41" s="32"/>
      <c r="J41" s="31"/>
      <c r="K41" s="31"/>
      <c r="L41" s="31"/>
    </row>
    <row r="42" spans="2:11" ht="12.75">
      <c r="B42" s="33"/>
      <c r="E42" s="34"/>
      <c r="F42" s="34"/>
      <c r="H42" s="33"/>
      <c r="J42" s="34"/>
      <c r="K42" s="34"/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2" width="9.140625" style="19" customWidth="1"/>
    <col min="3" max="3" width="11.00390625" style="19" customWidth="1"/>
    <col min="4" max="4" width="10.57421875" style="19" customWidth="1"/>
    <col min="5" max="5" width="14.140625" style="19" customWidth="1"/>
    <col min="6" max="6" width="12.28125" style="19" customWidth="1"/>
    <col min="7" max="16384" width="9.140625" style="19" customWidth="1"/>
  </cols>
  <sheetData>
    <row r="1" spans="1:6" ht="15.75">
      <c r="A1" s="13" t="s">
        <v>30</v>
      </c>
      <c r="B1" s="14" t="s">
        <v>31</v>
      </c>
      <c r="C1" s="14"/>
      <c r="D1" s="15" t="s">
        <v>32</v>
      </c>
      <c r="E1" s="14"/>
      <c r="F1" s="14"/>
    </row>
    <row r="2" spans="1:6" ht="15.75">
      <c r="A2" s="13" t="s">
        <v>3</v>
      </c>
      <c r="B2" s="14"/>
      <c r="D2" s="20"/>
      <c r="E2" s="21" t="s">
        <v>4</v>
      </c>
      <c r="F2" s="22"/>
    </row>
    <row r="3" spans="1:6" ht="12.75">
      <c r="A3" s="18" t="s">
        <v>5</v>
      </c>
      <c r="B3" s="23" t="s">
        <v>33</v>
      </c>
      <c r="C3" s="18" t="s">
        <v>7</v>
      </c>
      <c r="D3" s="23" t="s">
        <v>8</v>
      </c>
      <c r="E3" s="23" t="s">
        <v>9</v>
      </c>
      <c r="F3" s="22"/>
    </row>
    <row r="4" spans="1:7" ht="12.75">
      <c r="A4" s="19" t="s">
        <v>10</v>
      </c>
      <c r="B4" s="19">
        <v>100</v>
      </c>
      <c r="C4" s="13">
        <v>1.42</v>
      </c>
      <c r="D4" s="24">
        <f>256*LOG(C4)</f>
        <v>38.985816162062456</v>
      </c>
      <c r="E4" s="23" t="s">
        <v>11</v>
      </c>
      <c r="F4" s="18" t="s">
        <v>12</v>
      </c>
      <c r="G4" s="18" t="s">
        <v>13</v>
      </c>
    </row>
    <row r="5" spans="1:7" ht="12.75">
      <c r="A5" s="19" t="s">
        <v>14</v>
      </c>
      <c r="B5" s="19">
        <v>600</v>
      </c>
      <c r="C5" s="13">
        <v>4.22</v>
      </c>
      <c r="D5" s="24">
        <f aca="true" t="shared" si="0" ref="D5:D11">256*LOG(C5)</f>
        <v>160.0799874461885</v>
      </c>
      <c r="E5" s="25">
        <f aca="true" t="shared" si="1" ref="E5:E10">SLOPE((D5:D6),LOG(B5:B6))</f>
        <v>211.518817901144</v>
      </c>
      <c r="F5" s="26">
        <f aca="true" t="shared" si="2" ref="F5:F10">1024/SLOPE((D5:D6),LOG(B5:B6))</f>
        <v>4.841176828430364</v>
      </c>
      <c r="G5" s="24">
        <f>ABS(E15-B5)/B5*100</f>
        <v>5.687210444728824</v>
      </c>
    </row>
    <row r="6" spans="1:7" ht="12.75">
      <c r="A6" s="19" t="s">
        <v>15</v>
      </c>
      <c r="B6" s="19">
        <v>1800</v>
      </c>
      <c r="C6" s="13">
        <v>10.46</v>
      </c>
      <c r="D6" s="24">
        <f t="shared" si="0"/>
        <v>261.0001112400014</v>
      </c>
      <c r="E6" s="25">
        <f t="shared" si="1"/>
        <v>283.16134176156885</v>
      </c>
      <c r="F6" s="26">
        <f t="shared" si="2"/>
        <v>3.6163128541121323</v>
      </c>
      <c r="G6" s="24">
        <f aca="true" t="shared" si="3" ref="G6:G11">ABS(E16-B6)/B6*100</f>
        <v>9.185590629314813</v>
      </c>
    </row>
    <row r="7" spans="1:7" ht="12.75">
      <c r="A7" s="19" t="s">
        <v>16</v>
      </c>
      <c r="B7" s="19">
        <v>4700</v>
      </c>
      <c r="C7" s="13">
        <v>30.24</v>
      </c>
      <c r="D7" s="24">
        <f t="shared" si="0"/>
        <v>379.0289374282672</v>
      </c>
      <c r="E7" s="25">
        <f t="shared" si="1"/>
        <v>223.44763815162347</v>
      </c>
      <c r="F7" s="26">
        <f t="shared" si="2"/>
        <v>4.582729128267405</v>
      </c>
      <c r="G7" s="24">
        <f t="shared" si="3"/>
        <v>5.269278392775688</v>
      </c>
    </row>
    <row r="8" spans="1:7" ht="12.75">
      <c r="A8" s="19" t="s">
        <v>17</v>
      </c>
      <c r="B8" s="19">
        <v>15000</v>
      </c>
      <c r="C8" s="13">
        <v>83.27</v>
      </c>
      <c r="D8" s="24">
        <f t="shared" si="0"/>
        <v>491.64507255252425</v>
      </c>
      <c r="E8" s="25">
        <f t="shared" si="1"/>
        <v>263.13810081567425</v>
      </c>
      <c r="F8" s="26">
        <f t="shared" si="2"/>
        <v>3.8914927060194233</v>
      </c>
      <c r="G8" s="24">
        <f t="shared" si="3"/>
        <v>5.109322816791246</v>
      </c>
    </row>
    <row r="9" spans="1:7" ht="12.75">
      <c r="A9" s="19" t="s">
        <v>18</v>
      </c>
      <c r="B9" s="19">
        <v>40000</v>
      </c>
      <c r="C9" s="13">
        <v>228.21</v>
      </c>
      <c r="D9" s="24">
        <f t="shared" si="0"/>
        <v>603.7336757695185</v>
      </c>
      <c r="E9" s="25">
        <f t="shared" si="1"/>
        <v>255.00877848549388</v>
      </c>
      <c r="F9" s="26">
        <f t="shared" si="2"/>
        <v>4.015548037528638</v>
      </c>
      <c r="G9" s="24">
        <f t="shared" si="3"/>
        <v>1.8639237633667836</v>
      </c>
    </row>
    <row r="10" spans="1:7" ht="12.75">
      <c r="A10" s="19" t="s">
        <v>19</v>
      </c>
      <c r="B10" s="19">
        <v>140000</v>
      </c>
      <c r="C10" s="13">
        <v>794.87</v>
      </c>
      <c r="D10" s="24">
        <f t="shared" si="0"/>
        <v>742.475803172277</v>
      </c>
      <c r="E10" s="25">
        <f t="shared" si="1"/>
        <v>213.51004633554942</v>
      </c>
      <c r="F10" s="26">
        <f t="shared" si="2"/>
        <v>4.796027248248056</v>
      </c>
      <c r="G10" s="24">
        <f t="shared" si="3"/>
        <v>6.987276489307343</v>
      </c>
    </row>
    <row r="11" spans="1:7" ht="12.75">
      <c r="A11" s="19" t="s">
        <v>20</v>
      </c>
      <c r="B11" s="19">
        <v>330000</v>
      </c>
      <c r="C11" s="13">
        <v>1625.08</v>
      </c>
      <c r="D11" s="24">
        <f t="shared" si="0"/>
        <v>821.9839348326487</v>
      </c>
      <c r="F11" s="26"/>
      <c r="G11" s="24">
        <f t="shared" si="3"/>
        <v>4.292697218928299</v>
      </c>
    </row>
    <row r="13" spans="1:5" ht="12.75">
      <c r="A13" s="19" t="s">
        <v>21</v>
      </c>
      <c r="C13" s="24">
        <f>SLOPE((D5:D11),LOG(B5:B11))</f>
        <v>245.39633966309484</v>
      </c>
      <c r="E13" s="19" t="s">
        <v>22</v>
      </c>
    </row>
    <row r="14" spans="1:7" ht="12.75">
      <c r="A14" s="19" t="s">
        <v>23</v>
      </c>
      <c r="C14" s="24">
        <f>INTERCEPT(D5:D11,LOG(B5:B11))</f>
        <v>-527.5631780693695</v>
      </c>
      <c r="E14" s="19">
        <f aca="true" t="shared" si="4" ref="E14:E21">10^((D4-C$14)/C$13)</f>
        <v>203.56825055327835</v>
      </c>
      <c r="F14" s="19">
        <f aca="true" t="shared" si="5" ref="F14:F21">D4</f>
        <v>38.985816162062456</v>
      </c>
      <c r="G14" s="19">
        <f aca="true" t="shared" si="6" ref="G14:G21">B4</f>
        <v>100</v>
      </c>
    </row>
    <row r="15" spans="1:7" ht="12.75">
      <c r="A15" s="19" t="s">
        <v>24</v>
      </c>
      <c r="C15" s="27">
        <f>RSQ((D5:D11),LOG(B5:B11))</f>
        <v>0.9992259693842878</v>
      </c>
      <c r="E15" s="19">
        <f t="shared" si="4"/>
        <v>634.123262668373</v>
      </c>
      <c r="F15" s="19">
        <f t="shared" si="5"/>
        <v>160.0799874461885</v>
      </c>
      <c r="G15" s="19">
        <f t="shared" si="6"/>
        <v>600</v>
      </c>
    </row>
    <row r="16" spans="1:7" ht="12.75">
      <c r="A16" s="19" t="s">
        <v>25</v>
      </c>
      <c r="C16" s="28">
        <f>AVERAGE(G4:G11)</f>
        <v>5.485042822173285</v>
      </c>
      <c r="E16" s="19">
        <f t="shared" si="4"/>
        <v>1634.6593686723334</v>
      </c>
      <c r="F16" s="19">
        <f t="shared" si="5"/>
        <v>261.0001112400014</v>
      </c>
      <c r="G16" s="19">
        <f t="shared" si="6"/>
        <v>1800</v>
      </c>
    </row>
    <row r="17" spans="1:7" ht="12.75">
      <c r="A17" s="19" t="s">
        <v>26</v>
      </c>
      <c r="C17" s="28">
        <f>1024/C13</f>
        <v>4.172841377364682</v>
      </c>
      <c r="E17" s="19">
        <f t="shared" si="4"/>
        <v>4947.656084460457</v>
      </c>
      <c r="F17" s="19">
        <f t="shared" si="5"/>
        <v>379.0289374282672</v>
      </c>
      <c r="G17" s="19">
        <f t="shared" si="6"/>
        <v>4700</v>
      </c>
    </row>
    <row r="18" spans="1:7" ht="12.75">
      <c r="A18" s="19" t="s">
        <v>27</v>
      </c>
      <c r="C18" s="24">
        <f>C13</f>
        <v>245.39633966309484</v>
      </c>
      <c r="E18" s="19">
        <f t="shared" si="4"/>
        <v>14233.601577481313</v>
      </c>
      <c r="F18" s="19">
        <f t="shared" si="5"/>
        <v>491.64507255252425</v>
      </c>
      <c r="G18" s="19">
        <f t="shared" si="6"/>
        <v>15000</v>
      </c>
    </row>
    <row r="19" spans="1:7" ht="12.75">
      <c r="A19" s="19" t="s">
        <v>34</v>
      </c>
      <c r="C19" s="28">
        <f>10^((D4-C14)/C13)</f>
        <v>203.56825055327835</v>
      </c>
      <c r="E19" s="19">
        <f t="shared" si="4"/>
        <v>40745.56950534671</v>
      </c>
      <c r="F19" s="19">
        <f t="shared" si="5"/>
        <v>603.7336757695185</v>
      </c>
      <c r="G19" s="19">
        <f t="shared" si="6"/>
        <v>40000</v>
      </c>
    </row>
    <row r="20" spans="1:7" ht="12.75">
      <c r="A20" s="19" t="s">
        <v>29</v>
      </c>
      <c r="C20" s="24">
        <f>10^-(C14/C13)</f>
        <v>141.2021365653313</v>
      </c>
      <c r="E20" s="19">
        <f t="shared" si="4"/>
        <v>149782.18708503028</v>
      </c>
      <c r="F20" s="19">
        <f t="shared" si="5"/>
        <v>742.475803172277</v>
      </c>
      <c r="G20" s="19">
        <f t="shared" si="6"/>
        <v>140000</v>
      </c>
    </row>
    <row r="21" spans="5:7" ht="12.75">
      <c r="E21" s="19">
        <f t="shared" si="4"/>
        <v>315834.0991775366</v>
      </c>
      <c r="F21" s="19">
        <f t="shared" si="5"/>
        <v>821.9839348326487</v>
      </c>
      <c r="G21" s="19">
        <f t="shared" si="6"/>
        <v>330000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2"/>
  <headerFooter alignWithMargins="0">
    <oddHeader>&amp;CQFI1-1.XLS</oddHead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F14" sqref="F14"/>
    </sheetView>
  </sheetViews>
  <sheetFormatPr defaultColWidth="9.140625" defaultRowHeight="12.75"/>
  <cols>
    <col min="3" max="3" width="10.7109375" style="0" customWidth="1"/>
    <col min="6" max="6" width="12.57421875" style="0" customWidth="1"/>
    <col min="7" max="7" width="13.7109375" style="0" customWidth="1"/>
    <col min="8" max="8" width="14.140625" style="7" customWidth="1"/>
  </cols>
  <sheetData>
    <row r="1" spans="1:8" ht="15.75">
      <c r="A1" s="13" t="s">
        <v>30</v>
      </c>
      <c r="B1" s="14" t="s">
        <v>35</v>
      </c>
      <c r="C1" s="14"/>
      <c r="D1" s="47" t="s">
        <v>36</v>
      </c>
      <c r="E1" s="47"/>
      <c r="F1" s="47"/>
      <c r="G1" s="47"/>
      <c r="H1" s="45" t="s">
        <v>37</v>
      </c>
    </row>
    <row r="2" spans="1:8" ht="12.75">
      <c r="A2" s="13" t="s">
        <v>3</v>
      </c>
      <c r="B2" s="14"/>
      <c r="C2" s="14"/>
      <c r="D2" s="46" t="s">
        <v>38</v>
      </c>
      <c r="E2" s="11"/>
      <c r="F2" s="10" t="s">
        <v>39</v>
      </c>
      <c r="G2" s="11"/>
      <c r="H2" s="45" t="s">
        <v>40</v>
      </c>
    </row>
    <row r="3" spans="4:8" ht="12.75">
      <c r="D3" s="1" t="s">
        <v>41</v>
      </c>
      <c r="E3" s="1"/>
      <c r="F3" s="1" t="s">
        <v>41</v>
      </c>
      <c r="G3" s="8" t="s">
        <v>42</v>
      </c>
      <c r="H3" s="8" t="s">
        <v>43</v>
      </c>
    </row>
    <row r="4" spans="1:8" ht="12.75">
      <c r="A4" s="8" t="s">
        <v>44</v>
      </c>
      <c r="B4" s="8" t="s">
        <v>45</v>
      </c>
      <c r="C4" s="8" t="s">
        <v>46</v>
      </c>
      <c r="D4" s="8" t="s">
        <v>47</v>
      </c>
      <c r="E4" s="8" t="s">
        <v>48</v>
      </c>
      <c r="F4" s="8" t="s">
        <v>48</v>
      </c>
      <c r="G4" s="8" t="s">
        <v>49</v>
      </c>
      <c r="H4" s="8" t="s">
        <v>48</v>
      </c>
    </row>
    <row r="5" spans="1:8" ht="12.75">
      <c r="A5" s="42">
        <v>35079</v>
      </c>
      <c r="B5" s="43">
        <v>68880</v>
      </c>
      <c r="C5" s="43">
        <v>0</v>
      </c>
      <c r="D5" s="44">
        <v>2.24</v>
      </c>
      <c r="E5" s="44">
        <v>8.24</v>
      </c>
      <c r="F5" s="40">
        <v>6</v>
      </c>
      <c r="G5" s="41">
        <f>'Healthy Controls'!F$31</f>
        <v>39.97778834079785</v>
      </c>
      <c r="H5" s="9">
        <f>F5*$G$5</f>
        <v>239.86673004478712</v>
      </c>
    </row>
    <row r="6" spans="1:8" ht="12.75">
      <c r="A6" s="42">
        <v>35078</v>
      </c>
      <c r="B6" s="43">
        <v>68734</v>
      </c>
      <c r="C6" s="43">
        <v>0</v>
      </c>
      <c r="D6" s="44">
        <v>2.31</v>
      </c>
      <c r="E6" s="44">
        <v>20.32</v>
      </c>
      <c r="F6" s="40">
        <f>E6-D6</f>
        <v>18.01</v>
      </c>
      <c r="G6" s="41"/>
      <c r="H6" s="9">
        <f>F6*$G$5</f>
        <v>719.9999680177693</v>
      </c>
    </row>
    <row r="7" spans="1:8" ht="12.75">
      <c r="A7" s="42">
        <v>35078</v>
      </c>
      <c r="B7" s="43">
        <v>41357</v>
      </c>
      <c r="C7" s="43">
        <v>1</v>
      </c>
      <c r="D7" s="44">
        <v>2.33</v>
      </c>
      <c r="E7" s="44">
        <v>106.56</v>
      </c>
      <c r="F7" s="40">
        <f>E7-D7</f>
        <v>104.23</v>
      </c>
      <c r="G7" s="41"/>
      <c r="H7" s="9">
        <f>F7*$G$5</f>
        <v>4166.88487876136</v>
      </c>
    </row>
    <row r="8" spans="1:8" ht="12.75">
      <c r="A8" s="42">
        <v>35079</v>
      </c>
      <c r="B8" s="43">
        <v>41029</v>
      </c>
      <c r="C8" s="43">
        <v>1</v>
      </c>
      <c r="D8" s="44">
        <v>2.53</v>
      </c>
      <c r="E8" s="44">
        <v>62.5</v>
      </c>
      <c r="F8" s="40">
        <f>E8-D8</f>
        <v>59.97</v>
      </c>
      <c r="G8" s="41"/>
      <c r="H8" s="9">
        <f>F8*$G$5</f>
        <v>2397.467966797647</v>
      </c>
    </row>
    <row r="9" spans="1:8" ht="12.75">
      <c r="A9" s="42">
        <v>35079</v>
      </c>
      <c r="B9" s="43">
        <v>41802</v>
      </c>
      <c r="C9" s="43">
        <v>1</v>
      </c>
      <c r="D9" s="44">
        <v>2.61</v>
      </c>
      <c r="E9" s="44">
        <v>156.61</v>
      </c>
      <c r="F9" s="40">
        <f>E9-D9</f>
        <v>154</v>
      </c>
      <c r="G9" s="41"/>
      <c r="H9" s="9">
        <f>F9*$G$5</f>
        <v>6156.579404482869</v>
      </c>
    </row>
    <row r="10" spans="1:5" ht="12.75">
      <c r="A10" s="11"/>
      <c r="B10" s="11"/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2.75">
      <c r="A12" s="11"/>
      <c r="B12" s="11"/>
      <c r="C12" s="11"/>
      <c r="D12" s="11"/>
      <c r="E12" s="11"/>
    </row>
    <row r="13" spans="1:5" ht="12.75">
      <c r="A13" s="11"/>
      <c r="B13" s="11"/>
      <c r="C13" s="11"/>
      <c r="D13" s="11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1"/>
      <c r="B15" s="11"/>
      <c r="C15" s="11"/>
      <c r="D15" s="11"/>
      <c r="E15" s="11"/>
    </row>
    <row r="16" spans="1:5" ht="12.75">
      <c r="A16" s="11"/>
      <c r="B16" s="11"/>
      <c r="C16" s="11"/>
      <c r="D16" s="11"/>
      <c r="E16" s="11"/>
    </row>
    <row r="17" spans="1:5" ht="12.75">
      <c r="A17" s="11"/>
      <c r="B17" s="11"/>
      <c r="C17" s="11"/>
      <c r="D17" s="11"/>
      <c r="E17" s="11"/>
    </row>
    <row r="18" spans="1:5" ht="12.75">
      <c r="A18" s="11"/>
      <c r="B18" s="11"/>
      <c r="C18" s="11"/>
      <c r="D18" s="11"/>
      <c r="E18" s="11"/>
    </row>
    <row r="19" spans="1:5" ht="12.75">
      <c r="A19" s="11"/>
      <c r="B19" s="11"/>
      <c r="C19" s="11"/>
      <c r="D19" s="11"/>
      <c r="E19" s="11"/>
    </row>
    <row r="20" spans="1:5" ht="12.75">
      <c r="A20" s="11"/>
      <c r="B20" s="11"/>
      <c r="C20" s="11"/>
      <c r="D20" s="11"/>
      <c r="E20" s="11"/>
    </row>
    <row r="21" spans="1:5" ht="12.75">
      <c r="A21" s="11"/>
      <c r="B21" s="11"/>
      <c r="C21" s="11"/>
      <c r="D21" s="11"/>
      <c r="E21" s="11"/>
    </row>
    <row r="22" spans="1:5" ht="12.75">
      <c r="A22" s="11"/>
      <c r="B22" s="11"/>
      <c r="C22" s="11"/>
      <c r="D22" s="11"/>
      <c r="E22" s="11"/>
    </row>
    <row r="23" spans="1:5" ht="12.75">
      <c r="A23" s="11"/>
      <c r="B23" s="11"/>
      <c r="C23" s="11"/>
      <c r="D23" s="11"/>
      <c r="E23" s="11"/>
    </row>
    <row r="24" spans="1:5" ht="12.75">
      <c r="A24" s="11"/>
      <c r="B24" s="11"/>
      <c r="C24" s="11"/>
      <c r="D24" s="11"/>
      <c r="E24" s="11"/>
    </row>
    <row r="25" spans="1:5" ht="12.75">
      <c r="A25" s="11"/>
      <c r="B25" s="11"/>
      <c r="C25" s="11"/>
      <c r="D25" s="11"/>
      <c r="E25" s="11"/>
    </row>
    <row r="26" spans="1:5" ht="12.75">
      <c r="A26" s="11"/>
      <c r="B26" s="11"/>
      <c r="C26" s="11"/>
      <c r="D26" s="11"/>
      <c r="E26" s="11"/>
    </row>
    <row r="27" spans="1:5" ht="12.75">
      <c r="A27" s="11"/>
      <c r="B27" s="11"/>
      <c r="C27" s="11"/>
      <c r="D27" s="11"/>
      <c r="E27" s="11"/>
    </row>
    <row r="28" spans="1:5" ht="12.75">
      <c r="A28" s="11"/>
      <c r="B28" s="11"/>
      <c r="C28" s="11"/>
      <c r="D28" s="11"/>
      <c r="E28" s="11"/>
    </row>
    <row r="29" spans="1:5" ht="12.75">
      <c r="A29" s="11"/>
      <c r="B29" s="11"/>
      <c r="C29" s="11"/>
      <c r="D29" s="11"/>
      <c r="E29" s="11"/>
    </row>
    <row r="30" spans="1:5" ht="12.75">
      <c r="A30" s="11"/>
      <c r="B30" s="11"/>
      <c r="C30" s="11"/>
      <c r="D30" s="11"/>
      <c r="E30" s="11"/>
    </row>
    <row r="31" spans="1:5" ht="12.75">
      <c r="A31" s="11"/>
      <c r="B31" s="11"/>
      <c r="C31" s="11"/>
      <c r="D31" s="11"/>
      <c r="E31" s="11"/>
    </row>
    <row r="32" spans="1:5" ht="12.75">
      <c r="A32" s="11"/>
      <c r="B32" s="11"/>
      <c r="C32" s="11"/>
      <c r="D32" s="11"/>
      <c r="E32" s="11"/>
    </row>
    <row r="33" spans="1:5" ht="12.75">
      <c r="A33" s="11"/>
      <c r="B33" s="11"/>
      <c r="C33" s="11"/>
      <c r="D33" s="11"/>
      <c r="E33" s="11"/>
    </row>
    <row r="34" spans="1:5" ht="12.75">
      <c r="A34" s="11"/>
      <c r="B34" s="11"/>
      <c r="C34" s="11"/>
      <c r="D34" s="11"/>
      <c r="E34" s="11"/>
    </row>
    <row r="35" spans="1:5" ht="12.75">
      <c r="A35" s="11"/>
      <c r="B35" s="11"/>
      <c r="C35" s="11"/>
      <c r="D35" s="11"/>
      <c r="E35" s="11"/>
    </row>
    <row r="36" spans="1:5" ht="12.75">
      <c r="A36" s="11"/>
      <c r="B36" s="11"/>
      <c r="C36" s="11"/>
      <c r="D36" s="11"/>
      <c r="E36" s="11"/>
    </row>
    <row r="37" spans="1:5" ht="12.75">
      <c r="A37" s="11"/>
      <c r="B37" s="11"/>
      <c r="C37" s="11"/>
      <c r="D37" s="11"/>
      <c r="E37" s="11"/>
    </row>
    <row r="38" spans="1:5" ht="12.75">
      <c r="A38" s="11"/>
      <c r="B38" s="11"/>
      <c r="C38" s="11"/>
      <c r="D38" s="11"/>
      <c r="E38" s="11"/>
    </row>
    <row r="39" spans="1:5" ht="12.75">
      <c r="A39" s="11"/>
      <c r="B39" s="11"/>
      <c r="C39" s="11"/>
      <c r="D39" s="11"/>
      <c r="E39" s="11"/>
    </row>
    <row r="40" spans="1:5" ht="12.75">
      <c r="A40" s="11"/>
      <c r="B40" s="11"/>
      <c r="C40" s="11"/>
      <c r="D40" s="11"/>
      <c r="E40" s="11"/>
    </row>
    <row r="41" spans="1:5" ht="12.75">
      <c r="A41" s="11"/>
      <c r="B41" s="11"/>
      <c r="C41" s="11"/>
      <c r="D41" s="11"/>
      <c r="E41" s="11"/>
    </row>
    <row r="42" spans="1:5" ht="12.75">
      <c r="A42" s="11"/>
      <c r="B42" s="11"/>
      <c r="C42" s="11"/>
      <c r="D42" s="11"/>
      <c r="E42" s="11"/>
    </row>
    <row r="43" spans="1:5" ht="12.75">
      <c r="A43" s="11"/>
      <c r="B43" s="11"/>
      <c r="C43" s="11"/>
      <c r="D43" s="11"/>
      <c r="E43" s="11"/>
    </row>
    <row r="44" spans="1:5" ht="12.75">
      <c r="A44" s="11"/>
      <c r="B44" s="11"/>
      <c r="C44" s="11"/>
      <c r="D44" s="11"/>
      <c r="E44" s="11"/>
    </row>
    <row r="45" spans="1:5" ht="12.75">
      <c r="A45" s="11"/>
      <c r="B45" s="11"/>
      <c r="C45" s="11"/>
      <c r="D45" s="11"/>
      <c r="E45" s="11"/>
    </row>
    <row r="46" spans="1:5" ht="12.75">
      <c r="A46" s="11"/>
      <c r="B46" s="11"/>
      <c r="C46" s="11"/>
      <c r="D46" s="11"/>
      <c r="E46" s="11"/>
    </row>
    <row r="47" spans="1:5" ht="12.75">
      <c r="A47" s="11"/>
      <c r="B47" s="11"/>
      <c r="C47" s="11"/>
      <c r="D47" s="11"/>
      <c r="E47" s="11"/>
    </row>
    <row r="48" spans="1:5" ht="12.75">
      <c r="A48" s="11"/>
      <c r="B48" s="11"/>
      <c r="C48" s="11"/>
      <c r="D48" s="11"/>
      <c r="E48" s="11"/>
    </row>
    <row r="49" spans="1:5" ht="12.75">
      <c r="A49" s="11"/>
      <c r="B49" s="11"/>
      <c r="C49" s="11"/>
      <c r="D49" s="11"/>
      <c r="E49" s="11"/>
    </row>
    <row r="50" spans="1:5" ht="12.75">
      <c r="A50" s="11"/>
      <c r="B50" s="11"/>
      <c r="C50" s="11"/>
      <c r="D50" s="11"/>
      <c r="E50" s="11"/>
    </row>
    <row r="51" spans="1:5" ht="12.75">
      <c r="A51" s="11"/>
      <c r="B51" s="11"/>
      <c r="C51" s="11"/>
      <c r="D51" s="11"/>
      <c r="E51" s="11"/>
    </row>
    <row r="52" spans="1:5" ht="12.75">
      <c r="A52" s="11"/>
      <c r="B52" s="11"/>
      <c r="C52" s="11"/>
      <c r="D52" s="11"/>
      <c r="E52" s="11"/>
    </row>
    <row r="53" spans="1:5" ht="12.75">
      <c r="A53" s="11"/>
      <c r="B53" s="11"/>
      <c r="C53" s="11"/>
      <c r="D53" s="11"/>
      <c r="E53" s="11"/>
    </row>
    <row r="54" spans="1:5" ht="12.75">
      <c r="A54" s="11"/>
      <c r="B54" s="11"/>
      <c r="C54" s="11"/>
      <c r="D54" s="11"/>
      <c r="E54" s="11"/>
    </row>
    <row r="55" spans="1:5" ht="12.75">
      <c r="A55" s="11"/>
      <c r="B55" s="11"/>
      <c r="C55" s="11"/>
      <c r="D55" s="11"/>
      <c r="E55" s="11"/>
    </row>
    <row r="56" spans="1:5" ht="12.75">
      <c r="A56" s="11"/>
      <c r="B56" s="11"/>
      <c r="C56" s="11"/>
      <c r="D56" s="11"/>
      <c r="E56" s="11"/>
    </row>
    <row r="57" spans="1:5" ht="12.75">
      <c r="A57" s="11"/>
      <c r="B57" s="11"/>
      <c r="C57" s="11"/>
      <c r="D57" s="11"/>
      <c r="E57" s="11"/>
    </row>
    <row r="58" spans="1:5" ht="12.75">
      <c r="A58" s="11"/>
      <c r="B58" s="11"/>
      <c r="C58" s="11"/>
      <c r="D58" s="11"/>
      <c r="E58" s="11"/>
    </row>
    <row r="59" spans="1:5" ht="12.75">
      <c r="A59" s="11"/>
      <c r="B59" s="11"/>
      <c r="C59" s="11"/>
      <c r="D59" s="11"/>
      <c r="E59" s="11"/>
    </row>
    <row r="60" spans="1:5" ht="12.75">
      <c r="A60" s="11"/>
      <c r="B60" s="11"/>
      <c r="C60" s="11"/>
      <c r="D60" s="11"/>
      <c r="E60" s="11"/>
    </row>
    <row r="61" spans="1:5" ht="12.75">
      <c r="A61" s="11"/>
      <c r="B61" s="11"/>
      <c r="C61" s="11"/>
      <c r="D61" s="11"/>
      <c r="E61" s="11"/>
    </row>
    <row r="62" spans="1:5" ht="12.75">
      <c r="A62" s="11"/>
      <c r="B62" s="11"/>
      <c r="C62" s="11"/>
      <c r="D62" s="11"/>
      <c r="E62" s="11"/>
    </row>
    <row r="63" spans="1:5" ht="12.75">
      <c r="A63" s="11"/>
      <c r="B63" s="11"/>
      <c r="C63" s="11"/>
      <c r="D63" s="11"/>
      <c r="E63" s="11"/>
    </row>
    <row r="64" spans="1:5" ht="12.75">
      <c r="A64" s="11"/>
      <c r="B64" s="11"/>
      <c r="C64" s="11"/>
      <c r="D64" s="11"/>
      <c r="E64" s="11"/>
    </row>
    <row r="65" spans="1:5" ht="12.75">
      <c r="A65" s="11"/>
      <c r="B65" s="11"/>
      <c r="C65" s="11"/>
      <c r="D65" s="11"/>
      <c r="E65" s="11"/>
    </row>
    <row r="66" spans="1:5" ht="12.75">
      <c r="A66" s="11"/>
      <c r="B66" s="11"/>
      <c r="C66" s="11"/>
      <c r="D66" s="11"/>
      <c r="E66" s="11"/>
    </row>
    <row r="67" spans="1:5" ht="12.75">
      <c r="A67" s="11"/>
      <c r="B67" s="11"/>
      <c r="C67" s="11"/>
      <c r="D67" s="11"/>
      <c r="E67" s="11"/>
    </row>
    <row r="68" spans="1:5" ht="12.75">
      <c r="A68" s="11"/>
      <c r="B68" s="11"/>
      <c r="C68" s="11"/>
      <c r="D68" s="11"/>
      <c r="E68" s="11"/>
    </row>
    <row r="69" spans="1:5" ht="12.75">
      <c r="A69" s="11"/>
      <c r="B69" s="11"/>
      <c r="C69" s="11"/>
      <c r="D69" s="11"/>
      <c r="E69" s="11"/>
    </row>
    <row r="70" spans="1:5" ht="12.75">
      <c r="A70" s="11"/>
      <c r="B70" s="11"/>
      <c r="C70" s="11"/>
      <c r="D70" s="11"/>
      <c r="E70" s="11"/>
    </row>
    <row r="71" spans="1:5" ht="12.75">
      <c r="A71" s="11"/>
      <c r="B71" s="11"/>
      <c r="C71" s="11"/>
      <c r="D71" s="11"/>
      <c r="E71" s="11"/>
    </row>
    <row r="72" spans="1:5" ht="12.75">
      <c r="A72" s="11"/>
      <c r="B72" s="11"/>
      <c r="C72" s="11"/>
      <c r="D72" s="11"/>
      <c r="E72" s="11"/>
    </row>
    <row r="73" spans="1:5" ht="12.75">
      <c r="A73" s="11"/>
      <c r="B73" s="11"/>
      <c r="C73" s="11"/>
      <c r="D73" s="11"/>
      <c r="E73" s="11"/>
    </row>
    <row r="74" spans="1:5" ht="12.75">
      <c r="A74" s="11"/>
      <c r="B74" s="11"/>
      <c r="C74" s="11"/>
      <c r="D74" s="11"/>
      <c r="E74" s="11"/>
    </row>
    <row r="75" spans="1:5" ht="12.75">
      <c r="A75" s="11"/>
      <c r="B75" s="11"/>
      <c r="C75" s="11"/>
      <c r="D75" s="11"/>
      <c r="E75" s="11"/>
    </row>
    <row r="76" spans="1:5" ht="12.75">
      <c r="A76" s="11"/>
      <c r="B76" s="11"/>
      <c r="C76" s="11"/>
      <c r="D76" s="11"/>
      <c r="E76" s="11"/>
    </row>
    <row r="77" spans="1:5" ht="12.75">
      <c r="A77" s="11"/>
      <c r="B77" s="11"/>
      <c r="C77" s="11"/>
      <c r="D77" s="11"/>
      <c r="E77" s="11"/>
    </row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>
      <c r="A80" s="11"/>
      <c r="B80" s="11"/>
      <c r="C80" s="11"/>
      <c r="D80" s="11"/>
      <c r="E80" s="11"/>
    </row>
    <row r="81" spans="1:5" ht="12.75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</sheetData>
  <sheetProtection sheet="1" objects="1" scenarios="1"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F10" sqref="F10"/>
    </sheetView>
  </sheetViews>
  <sheetFormatPr defaultColWidth="9.140625" defaultRowHeight="12.75"/>
  <cols>
    <col min="2" max="2" width="10.57421875" style="0" customWidth="1"/>
    <col min="3" max="3" width="7.7109375" style="0" customWidth="1"/>
    <col min="5" max="5" width="4.57421875" style="0" customWidth="1"/>
    <col min="11" max="11" width="11.140625" style="0" customWidth="1"/>
  </cols>
  <sheetData>
    <row r="1" spans="1:8" ht="15.75">
      <c r="A1" s="13" t="s">
        <v>30</v>
      </c>
      <c r="B1" s="14" t="s">
        <v>35</v>
      </c>
      <c r="C1" s="11"/>
      <c r="D1" s="38" t="s">
        <v>50</v>
      </c>
      <c r="E1" s="11"/>
      <c r="F1" s="11"/>
      <c r="G1" s="11"/>
      <c r="H1" s="11"/>
    </row>
    <row r="2" spans="1:8" ht="15.75">
      <c r="A2" s="13" t="s">
        <v>3</v>
      </c>
      <c r="B2" s="14"/>
      <c r="C2" s="38"/>
      <c r="D2" s="11"/>
      <c r="E2" s="11"/>
      <c r="F2" s="11"/>
      <c r="G2" s="11"/>
      <c r="H2" s="11"/>
    </row>
    <row r="3" spans="3:8" ht="30" customHeight="1">
      <c r="C3" s="48" t="s">
        <v>51</v>
      </c>
      <c r="D3" s="48"/>
      <c r="F3" s="48" t="s">
        <v>52</v>
      </c>
      <c r="G3" s="48"/>
      <c r="H3" s="1"/>
    </row>
    <row r="4" spans="1:11" ht="12.75">
      <c r="A4" s="2" t="s">
        <v>44</v>
      </c>
      <c r="B4" s="2" t="s">
        <v>45</v>
      </c>
      <c r="C4" s="2" t="s">
        <v>47</v>
      </c>
      <c r="D4" s="2" t="s">
        <v>53</v>
      </c>
      <c r="F4" s="2" t="s">
        <v>54</v>
      </c>
      <c r="H4" t="s">
        <v>55</v>
      </c>
      <c r="J4" s="3">
        <f>AVERAGE($F$5:$F$25)</f>
        <v>1250.6945</v>
      </c>
      <c r="K4" s="3"/>
    </row>
    <row r="5" spans="1:11" ht="12.75">
      <c r="A5" s="36">
        <v>35102</v>
      </c>
      <c r="B5" s="11">
        <v>1</v>
      </c>
      <c r="C5" s="37">
        <v>2.51</v>
      </c>
      <c r="D5" s="37">
        <v>1308.25</v>
      </c>
      <c r="F5" s="35">
        <f aca="true" t="shared" si="0" ref="F5:F18">IF(D5&gt;0,D5-C5,"")</f>
        <v>1305.74</v>
      </c>
      <c r="H5" t="s">
        <v>56</v>
      </c>
      <c r="J5" s="3">
        <f>STDEV($F$5:$F$25)</f>
        <v>57.44923621635339</v>
      </c>
      <c r="K5" s="3"/>
    </row>
    <row r="6" spans="1:11" ht="12.75">
      <c r="A6" s="36">
        <v>35102</v>
      </c>
      <c r="B6" s="11">
        <v>2</v>
      </c>
      <c r="C6" s="37">
        <v>2.41</v>
      </c>
      <c r="D6" s="37">
        <v>1303.45</v>
      </c>
      <c r="F6" s="35">
        <f t="shared" si="0"/>
        <v>1301.04</v>
      </c>
      <c r="H6" t="s">
        <v>57</v>
      </c>
      <c r="J6" s="3">
        <f>J5/J4*100</f>
        <v>4.593386811595749</v>
      </c>
      <c r="K6" s="3"/>
    </row>
    <row r="7" spans="1:11" ht="12.75">
      <c r="A7" s="36">
        <v>35103</v>
      </c>
      <c r="B7" s="11">
        <v>3</v>
      </c>
      <c r="C7" s="37">
        <v>2.35</v>
      </c>
      <c r="D7" s="37">
        <v>1284.32</v>
      </c>
      <c r="F7" s="35">
        <f t="shared" si="0"/>
        <v>1281.97</v>
      </c>
      <c r="H7" t="s">
        <v>58</v>
      </c>
      <c r="J7" s="3">
        <f>MEDIAN($F$5:$F$25)</f>
        <v>1243.8600000000001</v>
      </c>
      <c r="K7" s="3"/>
    </row>
    <row r="8" spans="1:11" ht="12.75">
      <c r="A8" s="36">
        <v>35103</v>
      </c>
      <c r="B8" s="11">
        <v>4</v>
      </c>
      <c r="C8" s="37">
        <v>2.25</v>
      </c>
      <c r="D8" s="37">
        <v>1214.5</v>
      </c>
      <c r="F8" s="35">
        <f t="shared" si="0"/>
        <v>1212.25</v>
      </c>
      <c r="H8" s="2" t="s">
        <v>49</v>
      </c>
      <c r="J8" s="39">
        <f>50000/J4</f>
        <v>39.97778834079785</v>
      </c>
      <c r="K8" s="4"/>
    </row>
    <row r="9" spans="1:6" ht="12.75">
      <c r="A9" s="36">
        <v>35104</v>
      </c>
      <c r="B9" s="11">
        <v>5</v>
      </c>
      <c r="C9" s="37">
        <v>2.56</v>
      </c>
      <c r="D9" s="37">
        <v>1302.41</v>
      </c>
      <c r="F9" s="35">
        <f t="shared" si="0"/>
        <v>1299.8500000000001</v>
      </c>
    </row>
    <row r="10" spans="1:6" ht="12.75">
      <c r="A10" s="36">
        <v>35105</v>
      </c>
      <c r="B10" s="11">
        <v>6</v>
      </c>
      <c r="C10" s="37">
        <v>2.55</v>
      </c>
      <c r="D10" s="37">
        <v>1263.55</v>
      </c>
      <c r="F10" s="35">
        <f t="shared" si="0"/>
        <v>1261</v>
      </c>
    </row>
    <row r="11" spans="1:6" ht="12.75">
      <c r="A11" s="36">
        <v>35105</v>
      </c>
      <c r="B11" s="11">
        <v>7</v>
      </c>
      <c r="C11" s="37">
        <v>2.72</v>
      </c>
      <c r="D11" s="37">
        <v>1232.75</v>
      </c>
      <c r="F11" s="35">
        <f t="shared" si="0"/>
        <v>1230.03</v>
      </c>
    </row>
    <row r="12" spans="1:6" ht="12.75">
      <c r="A12" s="36">
        <v>35078</v>
      </c>
      <c r="B12" s="11">
        <v>8</v>
      </c>
      <c r="C12" s="37">
        <v>2.33</v>
      </c>
      <c r="D12" s="37">
        <v>1345.41</v>
      </c>
      <c r="F12" s="35">
        <f t="shared" si="0"/>
        <v>1343.0800000000002</v>
      </c>
    </row>
    <row r="13" spans="1:6" ht="12.75">
      <c r="A13" s="36">
        <v>35079</v>
      </c>
      <c r="B13" s="11">
        <v>9</v>
      </c>
      <c r="C13" s="37">
        <v>2.5</v>
      </c>
      <c r="D13" s="37">
        <v>1184.51</v>
      </c>
      <c r="F13" s="35">
        <f t="shared" si="0"/>
        <v>1182.01</v>
      </c>
    </row>
    <row r="14" spans="1:6" ht="12.75">
      <c r="A14" s="36">
        <v>35078</v>
      </c>
      <c r="B14" s="11">
        <v>10</v>
      </c>
      <c r="C14" s="37">
        <v>2.42</v>
      </c>
      <c r="D14" s="37">
        <v>1158.25</v>
      </c>
      <c r="F14" s="35">
        <f t="shared" si="0"/>
        <v>1155.83</v>
      </c>
    </row>
    <row r="15" spans="1:6" ht="12.75">
      <c r="A15" s="36">
        <v>35079</v>
      </c>
      <c r="B15" s="11">
        <v>11</v>
      </c>
      <c r="C15" s="37">
        <v>2.75</v>
      </c>
      <c r="D15" s="37">
        <v>1360.41</v>
      </c>
      <c r="F15" s="35">
        <f t="shared" si="0"/>
        <v>1357.66</v>
      </c>
    </row>
    <row r="16" spans="1:6" ht="12.75">
      <c r="A16" s="36">
        <v>35079</v>
      </c>
      <c r="B16" s="11">
        <v>12</v>
      </c>
      <c r="C16" s="37">
        <v>2.43</v>
      </c>
      <c r="D16" s="37">
        <v>1275.5</v>
      </c>
      <c r="F16" s="35">
        <f t="shared" si="0"/>
        <v>1273.07</v>
      </c>
    </row>
    <row r="17" spans="1:6" ht="12.75">
      <c r="A17" s="36">
        <v>35080</v>
      </c>
      <c r="B17" s="11">
        <v>13</v>
      </c>
      <c r="C17" s="37">
        <v>2.25</v>
      </c>
      <c r="D17" s="37">
        <v>1200.21</v>
      </c>
      <c r="F17" s="35">
        <f t="shared" si="0"/>
        <v>1197.96</v>
      </c>
    </row>
    <row r="18" spans="1:6" ht="12.75">
      <c r="A18" s="36">
        <v>35080</v>
      </c>
      <c r="B18" s="11">
        <v>14</v>
      </c>
      <c r="C18" s="37">
        <v>2.55</v>
      </c>
      <c r="D18" s="37">
        <v>1207.75</v>
      </c>
      <c r="F18" s="35">
        <f t="shared" si="0"/>
        <v>1205.2</v>
      </c>
    </row>
    <row r="19" spans="1:6" ht="12.75">
      <c r="A19" s="36">
        <v>35080</v>
      </c>
      <c r="B19" s="11">
        <v>15</v>
      </c>
      <c r="C19" s="37">
        <v>2.75</v>
      </c>
      <c r="D19" s="37">
        <v>1190.51</v>
      </c>
      <c r="F19" s="35">
        <f aca="true" t="shared" si="1" ref="F19:F25">IF(D19&gt;0,D19-C19,"")</f>
        <v>1187.76</v>
      </c>
    </row>
    <row r="20" spans="1:6" ht="12.75">
      <c r="A20" s="36">
        <v>35080</v>
      </c>
      <c r="B20" s="11">
        <v>16</v>
      </c>
      <c r="C20" s="37">
        <v>2.25</v>
      </c>
      <c r="D20" s="37">
        <v>1320.21</v>
      </c>
      <c r="F20" s="35">
        <f t="shared" si="1"/>
        <v>1317.96</v>
      </c>
    </row>
    <row r="21" spans="1:6" ht="12.75">
      <c r="A21" s="36">
        <v>35080</v>
      </c>
      <c r="B21" s="11">
        <v>17</v>
      </c>
      <c r="C21" s="37">
        <v>2.35</v>
      </c>
      <c r="D21" s="37">
        <v>1250.32</v>
      </c>
      <c r="F21" s="35">
        <f t="shared" si="1"/>
        <v>1247.97</v>
      </c>
    </row>
    <row r="22" spans="1:6" ht="12.75">
      <c r="A22" s="36">
        <v>35081</v>
      </c>
      <c r="B22" s="11">
        <v>18</v>
      </c>
      <c r="C22" s="37">
        <v>2.35</v>
      </c>
      <c r="D22" s="37">
        <v>1220.2</v>
      </c>
      <c r="F22" s="35">
        <f t="shared" si="1"/>
        <v>1217.8500000000001</v>
      </c>
    </row>
    <row r="23" spans="1:6" ht="12.75">
      <c r="A23" s="36">
        <v>35081</v>
      </c>
      <c r="B23" s="11">
        <v>19</v>
      </c>
      <c r="C23" s="37">
        <v>2.75</v>
      </c>
      <c r="D23" s="37">
        <v>1242.5</v>
      </c>
      <c r="F23" s="35">
        <f t="shared" si="1"/>
        <v>1239.75</v>
      </c>
    </row>
    <row r="24" spans="1:6" ht="12.75">
      <c r="A24" s="36">
        <v>35081</v>
      </c>
      <c r="B24" s="11">
        <v>20</v>
      </c>
      <c r="C24" s="37">
        <v>2.41</v>
      </c>
      <c r="D24" s="37">
        <v>1198.32</v>
      </c>
      <c r="F24" s="35">
        <f t="shared" si="1"/>
        <v>1195.9099999999999</v>
      </c>
    </row>
    <row r="25" spans="1:6" ht="13.5" thickBot="1">
      <c r="A25" s="5"/>
      <c r="F25">
        <f t="shared" si="1"/>
      </c>
    </row>
    <row r="26" spans="1:6" ht="13.5" thickTop="1">
      <c r="A26" s="6" t="s">
        <v>59</v>
      </c>
      <c r="B26" s="6"/>
      <c r="C26" s="6"/>
      <c r="D26" s="6"/>
      <c r="E26" s="6"/>
      <c r="F26" s="6"/>
    </row>
    <row r="27" spans="4:6" ht="12.75">
      <c r="D27" t="s">
        <v>55</v>
      </c>
      <c r="F27" s="3">
        <f>AVERAGE($F$5:$F$25)</f>
        <v>1250.6945</v>
      </c>
    </row>
    <row r="28" spans="4:6" ht="12.75">
      <c r="D28" t="s">
        <v>56</v>
      </c>
      <c r="F28" s="3">
        <f>STDEV($F$5:$F$25)</f>
        <v>57.44923621635339</v>
      </c>
    </row>
    <row r="29" spans="4:6" ht="12.75">
      <c r="D29" t="s">
        <v>57</v>
      </c>
      <c r="F29" s="3">
        <f>F28/F27*100</f>
        <v>4.593386811595749</v>
      </c>
    </row>
    <row r="30" spans="4:6" ht="12.75">
      <c r="D30" t="s">
        <v>58</v>
      </c>
      <c r="F30" s="3">
        <f>MEDIAN($F$5:$F$25)</f>
        <v>1243.8600000000001</v>
      </c>
    </row>
    <row r="31" spans="4:6" ht="12.75">
      <c r="D31" s="2" t="s">
        <v>49</v>
      </c>
      <c r="F31" s="4">
        <f>50000/F27</f>
        <v>39.97778834079785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L. Matud</dc:creator>
  <cp:keywords/>
  <dc:description/>
  <cp:lastModifiedBy>Ingrid Schmid</cp:lastModifiedBy>
  <cp:lastPrinted>1998-01-21T18:33:48Z</cp:lastPrinted>
  <dcterms:created xsi:type="dcterms:W3CDTF">1996-02-13T02:55:38Z</dcterms:created>
  <dcterms:modified xsi:type="dcterms:W3CDTF">2015-01-07T00:39:13Z</dcterms:modified>
  <cp:category/>
  <cp:version/>
  <cp:contentType/>
  <cp:contentStatus/>
</cp:coreProperties>
</file>